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aTek2020\Sudan\RI\Tender documents\Solar hybride Tender\Final Final\"/>
    </mc:Choice>
  </mc:AlternateContent>
  <bookViews>
    <workbookView xWindow="0" yWindow="0" windowWidth="20490" windowHeight="7155"/>
  </bookViews>
  <sheets>
    <sheet name="Shinteshrab" sheetId="1" r:id="rId1"/>
    <sheet name="ND BH15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K36" i="2"/>
  <c r="J41" i="2"/>
  <c r="E26" i="2"/>
  <c r="E18" i="2"/>
  <c r="E14" i="2"/>
  <c r="E13" i="2"/>
  <c r="F9" i="2"/>
  <c r="E5" i="2"/>
  <c r="J37" i="2"/>
  <c r="J40" i="2" s="1"/>
  <c r="L40" i="2" s="1"/>
  <c r="F42" i="2" s="1"/>
  <c r="E27" i="2"/>
  <c r="G17" i="2"/>
  <c r="F10" i="2"/>
  <c r="F11" i="2"/>
  <c r="E7" i="2"/>
  <c r="E6" i="2"/>
  <c r="K35" i="1" l="1"/>
  <c r="F9" i="1"/>
  <c r="F10" i="1"/>
  <c r="F11" i="1" s="1"/>
  <c r="E7" i="1"/>
  <c r="J36" i="1"/>
  <c r="J39" i="1" s="1"/>
  <c r="J40" i="1"/>
  <c r="G17" i="1"/>
  <c r="E25" i="1"/>
  <c r="E26" i="1" s="1"/>
  <c r="E18" i="1"/>
  <c r="E5" i="1"/>
  <c r="E6" i="1" s="1"/>
  <c r="L39" i="1" l="1"/>
  <c r="F41" i="1" s="1"/>
</calcChain>
</file>

<file path=xl/sharedStrings.xml><?xml version="1.0" encoding="utf-8"?>
<sst xmlns="http://schemas.openxmlformats.org/spreadsheetml/2006/main" count="178" uniqueCount="83">
  <si>
    <t xml:space="preserve">6500 individuals </t>
  </si>
  <si>
    <t xml:space="preserve">lits/day </t>
  </si>
  <si>
    <t>lits/hr</t>
  </si>
  <si>
    <t xml:space="preserve">m3/hr </t>
  </si>
  <si>
    <t>lits/sec</t>
  </si>
  <si>
    <t xml:space="preserve">lits/sec </t>
  </si>
  <si>
    <t>Solar pump design discharge needed as per current benf</t>
  </si>
  <si>
    <t>8lits/sec</t>
  </si>
  <si>
    <t>power of pump(W) x hours pump running(h)= Solar array power (W) xPSH(h)x PR</t>
  </si>
  <si>
    <t>Solar array power (W)</t>
  </si>
  <si>
    <t>=</t>
  </si>
  <si>
    <t>W</t>
  </si>
  <si>
    <t>considering 250W panels</t>
  </si>
  <si>
    <t>~</t>
  </si>
  <si>
    <t xml:space="preserve">panels </t>
  </si>
  <si>
    <t xml:space="preserve">considering safety for wastage and losses </t>
  </si>
  <si>
    <t xml:space="preserve">Actual 7.5kw AC pump existing in the borehole discharge </t>
  </si>
  <si>
    <t xml:space="preserve">option three - Solar array determination </t>
  </si>
  <si>
    <t xml:space="preserve">Hydraulic Energy required </t>
  </si>
  <si>
    <r>
      <t>E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= QH</t>
    </r>
    <r>
      <rPr>
        <sz val="11"/>
        <color theme="1"/>
        <rFont val="Univers"/>
        <family val="2"/>
      </rPr>
      <t>Þ</t>
    </r>
    <r>
      <rPr>
        <sz val="11"/>
        <color theme="1"/>
        <rFont val="Calibri"/>
        <family val="2"/>
        <scheme val="minor"/>
      </rPr>
      <t>g/</t>
    </r>
    <r>
      <rPr>
        <sz val="11"/>
        <color theme="1"/>
        <rFont val="Times New Roman"/>
        <family val="1"/>
      </rPr>
      <t>η</t>
    </r>
  </si>
  <si>
    <t xml:space="preserve">or </t>
  </si>
  <si>
    <r>
      <t>E</t>
    </r>
    <r>
      <rPr>
        <sz val="8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(in KWH/day)</t>
    </r>
  </si>
  <si>
    <t>daily water volume (m3/day)x TDH x1000*9.81</t>
  </si>
  <si>
    <t>daily water volume (m3/day)x TDH x2.725</t>
  </si>
  <si>
    <t xml:space="preserve">3.6*1000 </t>
  </si>
  <si>
    <t>Daily energy demand</t>
  </si>
  <si>
    <t>Eh/Pump performance</t>
  </si>
  <si>
    <t>Solar array power required (in kwp)</t>
  </si>
  <si>
    <t xml:space="preserve">Daily energy demand </t>
  </si>
  <si>
    <t>PSHx Performance ratio</t>
  </si>
  <si>
    <t xml:space="preserve">considering 250w panels </t>
  </si>
  <si>
    <t xml:space="preserve">Panels </t>
  </si>
  <si>
    <t>Panels considering various losses and wastage</t>
  </si>
  <si>
    <t>97.5m3/day</t>
  </si>
  <si>
    <t>m3/day</t>
  </si>
  <si>
    <t>PSH</t>
  </si>
  <si>
    <t>5.9kwh/m2/day</t>
  </si>
  <si>
    <t xml:space="preserve">Demand domestic </t>
  </si>
  <si>
    <t xml:space="preserve">Demand institutional </t>
  </si>
  <si>
    <t xml:space="preserve">1m3/day </t>
  </si>
  <si>
    <t xml:space="preserve">99m3/day </t>
  </si>
  <si>
    <t>100m3/day</t>
  </si>
  <si>
    <t xml:space="preserve">population growth </t>
  </si>
  <si>
    <r>
      <t>P</t>
    </r>
    <r>
      <rPr>
        <sz val="8"/>
        <color theme="1"/>
        <rFont val="Calibri"/>
        <family val="2"/>
        <scheme val="minor"/>
      </rPr>
      <t>N</t>
    </r>
  </si>
  <si>
    <r>
      <t>P</t>
    </r>
    <r>
      <rPr>
        <sz val="8"/>
        <color theme="1"/>
        <rFont val="Calibri"/>
        <family val="2"/>
        <scheme val="minor"/>
      </rPr>
      <t>0</t>
    </r>
  </si>
  <si>
    <r>
      <t>(1+r/100)</t>
    </r>
    <r>
      <rPr>
        <sz val="18"/>
        <color theme="1"/>
        <rFont val="Calibri"/>
        <family val="2"/>
        <scheme val="minor"/>
      </rPr>
      <t>N</t>
    </r>
  </si>
  <si>
    <t>(1+2.4/100)20</t>
  </si>
  <si>
    <t>(1.024)20</t>
  </si>
  <si>
    <t>x</t>
  </si>
  <si>
    <t xml:space="preserve">Forecasted domestic demand </t>
  </si>
  <si>
    <t xml:space="preserve">Forecasted institutional demand </t>
  </si>
  <si>
    <t xml:space="preserve">Total forecasted demand </t>
  </si>
  <si>
    <t xml:space="preserve">Assuming 2hrs of generator operation then solar array has to be estimated for 7hrs of running </t>
  </si>
  <si>
    <t>158m3/day</t>
  </si>
  <si>
    <t xml:space="preserve">2400 individuals </t>
  </si>
  <si>
    <t>36m3/day</t>
  </si>
  <si>
    <t>37m3/day</t>
  </si>
  <si>
    <t>59m3/day</t>
  </si>
  <si>
    <t>1.2lits/sec</t>
  </si>
  <si>
    <t>6.3kwh/m2/day</t>
  </si>
  <si>
    <t xml:space="preserve">Actual 2.2kw AC pump existing in the borehole discharge </t>
  </si>
  <si>
    <t>Solar panel estimation for North Darfur BH 15</t>
  </si>
  <si>
    <t xml:space="preserve">Current Beneficiary no.  </t>
  </si>
  <si>
    <t xml:space="preserve">Total Current demand </t>
  </si>
  <si>
    <t xml:space="preserve">- with both generator and solar as energy source </t>
  </si>
  <si>
    <t xml:space="preserve">Assuming 2hrs of generator operation then solar array has to be estimated for 7hrs of peak running </t>
  </si>
  <si>
    <t>Inorder to optimize-</t>
  </si>
  <si>
    <t xml:space="preserve">Design discharge for solar </t>
  </si>
  <si>
    <t>2lit/sec</t>
  </si>
  <si>
    <t>Actual Borehole discharge estimated</t>
  </si>
  <si>
    <t xml:space="preserve">option 1 - Solar array determination </t>
  </si>
  <si>
    <t xml:space="preserve">option 2 - Solar array determination </t>
  </si>
  <si>
    <t xml:space="preserve">- solar array estimated with existing BH discharge </t>
  </si>
  <si>
    <t xml:space="preserve">Solar panel estimation for BLNS Shinteshrab BH </t>
  </si>
  <si>
    <t>Current Benf no.</t>
  </si>
  <si>
    <t xml:space="preserve">Current demand domestic </t>
  </si>
  <si>
    <t xml:space="preserve">Current demand institutional </t>
  </si>
  <si>
    <t xml:space="preserve">Total current demand </t>
  </si>
  <si>
    <t xml:space="preserve">Forecasted demand domestic </t>
  </si>
  <si>
    <t xml:space="preserve">- with both generator and solar as energy sources </t>
  </si>
  <si>
    <t>5lit/sec</t>
  </si>
  <si>
    <t xml:space="preserve">Actual Borehole discharge estimated </t>
  </si>
  <si>
    <t xml:space="preserve">option 1- Solar array determination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</si>
</sst>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Univers"/>
      <family val="2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0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2" fontId="0" fillId="0" borderId="0" xfId="0" applyNumberForma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4"/>
  <sheetViews>
    <sheetView tabSelected="1" topLeftCell="A28" workbookViewId="0">
      <selection activeCell="H18" sqref="H18"/>
    </sheetView>
  </sheetViews>
  <sheetFormatPr defaultRowHeight="15" x14ac:dyDescent="0.25"/>
  <cols>
    <col min="4" max="4" width="11.42578125" customWidth="1"/>
    <col min="5" max="5" width="15" customWidth="1"/>
  </cols>
  <sheetData>
    <row r="2" spans="2:19" x14ac:dyDescent="0.25">
      <c r="C2" s="11" t="s">
        <v>73</v>
      </c>
    </row>
    <row r="4" spans="2:19" ht="23.25" x14ac:dyDescent="0.35">
      <c r="B4" t="s">
        <v>74</v>
      </c>
      <c r="E4" t="s">
        <v>0</v>
      </c>
      <c r="L4" t="s">
        <v>42</v>
      </c>
      <c r="O4" t="s">
        <v>43</v>
      </c>
      <c r="P4" s="3" t="s">
        <v>10</v>
      </c>
      <c r="Q4" t="s">
        <v>44</v>
      </c>
      <c r="R4" s="3" t="s">
        <v>48</v>
      </c>
      <c r="S4" t="s">
        <v>45</v>
      </c>
    </row>
    <row r="5" spans="2:19" x14ac:dyDescent="0.25">
      <c r="B5" t="s">
        <v>75</v>
      </c>
      <c r="E5">
        <f>6500*15</f>
        <v>97500</v>
      </c>
      <c r="F5" t="s">
        <v>1</v>
      </c>
      <c r="G5" t="s">
        <v>33</v>
      </c>
      <c r="P5" s="3" t="s">
        <v>10</v>
      </c>
      <c r="Q5">
        <v>6500</v>
      </c>
      <c r="R5" s="3" t="s">
        <v>48</v>
      </c>
      <c r="S5" t="s">
        <v>46</v>
      </c>
    </row>
    <row r="6" spans="2:19" x14ac:dyDescent="0.25">
      <c r="E6" s="1">
        <f>E5/9</f>
        <v>10833.333333333334</v>
      </c>
      <c r="F6" t="s">
        <v>2</v>
      </c>
      <c r="P6" s="3" t="s">
        <v>10</v>
      </c>
      <c r="Q6">
        <v>6500</v>
      </c>
      <c r="R6" s="3" t="s">
        <v>48</v>
      </c>
      <c r="S6" t="s">
        <v>47</v>
      </c>
    </row>
    <row r="7" spans="2:19" x14ac:dyDescent="0.25">
      <c r="B7" t="s">
        <v>76</v>
      </c>
      <c r="E7" s="1">
        <f>2*50*10</f>
        <v>1000</v>
      </c>
      <c r="F7" t="s">
        <v>1</v>
      </c>
      <c r="G7" t="s">
        <v>39</v>
      </c>
      <c r="Q7">
        <v>6500</v>
      </c>
      <c r="R7" s="3" t="s">
        <v>48</v>
      </c>
      <c r="S7">
        <v>1.606938</v>
      </c>
    </row>
    <row r="8" spans="2:19" x14ac:dyDescent="0.25">
      <c r="B8" t="s">
        <v>77</v>
      </c>
      <c r="E8" s="1"/>
      <c r="G8" t="s">
        <v>40</v>
      </c>
      <c r="H8" t="s">
        <v>13</v>
      </c>
      <c r="I8" s="4" t="s">
        <v>41</v>
      </c>
      <c r="P8" s="3" t="s">
        <v>10</v>
      </c>
      <c r="Q8" s="1">
        <v>10445</v>
      </c>
    </row>
    <row r="9" spans="2:19" x14ac:dyDescent="0.25">
      <c r="B9" t="s">
        <v>78</v>
      </c>
      <c r="E9" s="1"/>
      <c r="F9">
        <f>10445*15</f>
        <v>156675</v>
      </c>
      <c r="G9" t="s">
        <v>1</v>
      </c>
    </row>
    <row r="10" spans="2:19" x14ac:dyDescent="0.25">
      <c r="B10" t="s">
        <v>50</v>
      </c>
      <c r="E10" s="1"/>
      <c r="F10" s="1">
        <f>E7</f>
        <v>1000</v>
      </c>
      <c r="G10" t="s">
        <v>1</v>
      </c>
    </row>
    <row r="11" spans="2:19" x14ac:dyDescent="0.25">
      <c r="C11" t="s">
        <v>51</v>
      </c>
      <c r="E11" s="1"/>
      <c r="F11" s="1">
        <f>SUM(F9:F10)</f>
        <v>157675</v>
      </c>
      <c r="G11" t="s">
        <v>1</v>
      </c>
      <c r="H11" t="s">
        <v>53</v>
      </c>
      <c r="I11" s="3" t="s">
        <v>79</v>
      </c>
    </row>
    <row r="12" spans="2:19" x14ac:dyDescent="0.25">
      <c r="E12" s="1"/>
      <c r="F12" s="1"/>
      <c r="G12" t="s">
        <v>66</v>
      </c>
      <c r="I12" s="3" t="s">
        <v>52</v>
      </c>
    </row>
    <row r="13" spans="2:19" x14ac:dyDescent="0.25">
      <c r="B13" t="s">
        <v>67</v>
      </c>
      <c r="E13" s="1">
        <f>158/9</f>
        <v>17.555555555555557</v>
      </c>
      <c r="F13" t="s">
        <v>3</v>
      </c>
    </row>
    <row r="14" spans="2:19" x14ac:dyDescent="0.25">
      <c r="E14" s="1">
        <f>(E13*1000)/3600</f>
        <v>4.8765432098765444</v>
      </c>
      <c r="F14" t="s">
        <v>4</v>
      </c>
    </row>
    <row r="15" spans="2:19" x14ac:dyDescent="0.25">
      <c r="B15" t="s">
        <v>6</v>
      </c>
      <c r="E15" s="1"/>
      <c r="G15" t="s">
        <v>80</v>
      </c>
    </row>
    <row r="16" spans="2:19" x14ac:dyDescent="0.25">
      <c r="E16" s="1"/>
    </row>
    <row r="17" spans="1:8" x14ac:dyDescent="0.25">
      <c r="A17" t="s">
        <v>81</v>
      </c>
      <c r="E17">
        <v>30</v>
      </c>
      <c r="F17" t="s">
        <v>3</v>
      </c>
      <c r="G17">
        <f>E17*9</f>
        <v>270</v>
      </c>
      <c r="H17" t="s">
        <v>34</v>
      </c>
    </row>
    <row r="18" spans="1:8" x14ac:dyDescent="0.25">
      <c r="E18" s="2">
        <f>30000/3600</f>
        <v>8.3333333333333339</v>
      </c>
      <c r="F18" t="s">
        <v>4</v>
      </c>
    </row>
    <row r="19" spans="1:8" x14ac:dyDescent="0.25">
      <c r="A19" t="s">
        <v>16</v>
      </c>
      <c r="F19" t="s">
        <v>7</v>
      </c>
    </row>
    <row r="21" spans="1:8" x14ac:dyDescent="0.25">
      <c r="B21" t="s">
        <v>35</v>
      </c>
      <c r="C21" s="3" t="s">
        <v>10</v>
      </c>
      <c r="D21" t="s">
        <v>36</v>
      </c>
    </row>
    <row r="22" spans="1:8" x14ac:dyDescent="0.25">
      <c r="C22" t="s">
        <v>82</v>
      </c>
    </row>
    <row r="24" spans="1:8" x14ac:dyDescent="0.25">
      <c r="C24" t="s">
        <v>8</v>
      </c>
    </row>
    <row r="25" spans="1:8" x14ac:dyDescent="0.25">
      <c r="C25" t="s">
        <v>9</v>
      </c>
      <c r="D25" s="3" t="s">
        <v>10</v>
      </c>
      <c r="E25" s="4">
        <f>((7500*7)/(5.9*0.6))</f>
        <v>14830.508474576271</v>
      </c>
      <c r="F25" t="s">
        <v>11</v>
      </c>
    </row>
    <row r="26" spans="1:8" x14ac:dyDescent="0.25">
      <c r="C26" t="s">
        <v>12</v>
      </c>
      <c r="E26">
        <f>E25/250</f>
        <v>59.322033898305079</v>
      </c>
      <c r="F26" t="s">
        <v>13</v>
      </c>
      <c r="G26">
        <v>60</v>
      </c>
      <c r="H26" t="s">
        <v>14</v>
      </c>
    </row>
    <row r="27" spans="1:8" x14ac:dyDescent="0.25">
      <c r="C27" t="s">
        <v>15</v>
      </c>
      <c r="G27" s="4">
        <v>62</v>
      </c>
      <c r="H27" t="s">
        <v>14</v>
      </c>
    </row>
    <row r="30" spans="1:8" x14ac:dyDescent="0.25">
      <c r="C30" t="s">
        <v>17</v>
      </c>
    </row>
    <row r="32" spans="1:8" ht="18" x14ac:dyDescent="0.25">
      <c r="C32" t="s">
        <v>18</v>
      </c>
      <c r="E32" s="5" t="s">
        <v>19</v>
      </c>
    </row>
    <row r="33" spans="3:12" x14ac:dyDescent="0.25">
      <c r="C33" t="s">
        <v>20</v>
      </c>
      <c r="D33" t="s">
        <v>21</v>
      </c>
      <c r="E33" s="3" t="s">
        <v>10</v>
      </c>
      <c r="F33" s="6" t="s">
        <v>22</v>
      </c>
      <c r="G33" s="6"/>
      <c r="H33" s="6"/>
      <c r="I33" s="6"/>
      <c r="J33" s="3" t="s">
        <v>10</v>
      </c>
      <c r="K33" s="7" t="s">
        <v>23</v>
      </c>
      <c r="L33" s="3"/>
    </row>
    <row r="34" spans="3:12" x14ac:dyDescent="0.25">
      <c r="F34" s="9" t="s">
        <v>24</v>
      </c>
      <c r="G34" s="9"/>
      <c r="H34" s="9"/>
      <c r="I34" s="9"/>
    </row>
    <row r="35" spans="3:12" x14ac:dyDescent="0.25">
      <c r="J35" s="3" t="s">
        <v>10</v>
      </c>
      <c r="K35">
        <f>158*70*2.725</f>
        <v>30138.5</v>
      </c>
    </row>
    <row r="36" spans="3:12" x14ac:dyDescent="0.25">
      <c r="D36" t="s">
        <v>25</v>
      </c>
      <c r="E36" s="3" t="s">
        <v>10</v>
      </c>
      <c r="F36" t="s">
        <v>26</v>
      </c>
      <c r="I36" s="3" t="s">
        <v>10</v>
      </c>
      <c r="J36">
        <f>K35/0.75</f>
        <v>40184.666666666664</v>
      </c>
    </row>
    <row r="39" spans="3:12" x14ac:dyDescent="0.25">
      <c r="C39" t="s">
        <v>27</v>
      </c>
      <c r="E39" s="3" t="s">
        <v>10</v>
      </c>
      <c r="F39" s="6" t="s">
        <v>28</v>
      </c>
      <c r="I39" s="3" t="s">
        <v>10</v>
      </c>
      <c r="J39" s="6">
        <f>J36</f>
        <v>40184.666666666664</v>
      </c>
      <c r="K39" s="3" t="s">
        <v>10</v>
      </c>
      <c r="L39" s="4">
        <f>J39/J40</f>
        <v>11351.600753295668</v>
      </c>
    </row>
    <row r="40" spans="3:12" x14ac:dyDescent="0.25">
      <c r="F40" s="8" t="s">
        <v>29</v>
      </c>
      <c r="G40" s="8"/>
      <c r="J40">
        <f>5.9*0.6</f>
        <v>3.54</v>
      </c>
    </row>
    <row r="41" spans="3:12" x14ac:dyDescent="0.25">
      <c r="C41" t="s">
        <v>30</v>
      </c>
      <c r="E41" s="3" t="s">
        <v>10</v>
      </c>
      <c r="F41">
        <f>L39/250</f>
        <v>45.406403013182675</v>
      </c>
    </row>
    <row r="43" spans="3:12" x14ac:dyDescent="0.25">
      <c r="E43" s="3" t="s">
        <v>10</v>
      </c>
      <c r="F43">
        <v>46</v>
      </c>
      <c r="G43" t="s">
        <v>31</v>
      </c>
    </row>
    <row r="44" spans="3:12" x14ac:dyDescent="0.25">
      <c r="E44" t="s">
        <v>13</v>
      </c>
      <c r="F44" s="4">
        <v>48</v>
      </c>
      <c r="G44" t="s">
        <v>32</v>
      </c>
    </row>
  </sheetData>
  <mergeCells count="1">
    <mergeCell ref="F34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5"/>
  <sheetViews>
    <sheetView topLeftCell="A25" workbookViewId="0">
      <selection activeCell="J37" sqref="J37"/>
    </sheetView>
  </sheetViews>
  <sheetFormatPr defaultRowHeight="15" x14ac:dyDescent="0.25"/>
  <cols>
    <col min="3" max="3" width="26.140625" customWidth="1"/>
    <col min="4" max="5" width="15" customWidth="1"/>
  </cols>
  <sheetData>
    <row r="2" spans="2:19" x14ac:dyDescent="0.25">
      <c r="B2" s="11" t="s">
        <v>61</v>
      </c>
    </row>
    <row r="4" spans="2:19" ht="23.25" x14ac:dyDescent="0.35">
      <c r="C4" t="s">
        <v>62</v>
      </c>
      <c r="E4" t="s">
        <v>54</v>
      </c>
      <c r="L4" t="s">
        <v>42</v>
      </c>
      <c r="O4" t="s">
        <v>43</v>
      </c>
      <c r="P4" s="3" t="s">
        <v>10</v>
      </c>
      <c r="Q4" t="s">
        <v>44</v>
      </c>
      <c r="R4" s="3" t="s">
        <v>48</v>
      </c>
      <c r="S4" t="s">
        <v>45</v>
      </c>
    </row>
    <row r="5" spans="2:19" x14ac:dyDescent="0.25">
      <c r="C5" t="s">
        <v>37</v>
      </c>
      <c r="E5">
        <f>2400*15</f>
        <v>36000</v>
      </c>
      <c r="F5" t="s">
        <v>1</v>
      </c>
      <c r="G5" t="s">
        <v>55</v>
      </c>
      <c r="P5" s="3" t="s">
        <v>10</v>
      </c>
      <c r="Q5">
        <v>2400</v>
      </c>
      <c r="R5" s="3" t="s">
        <v>48</v>
      </c>
      <c r="S5" t="s">
        <v>46</v>
      </c>
    </row>
    <row r="6" spans="2:19" x14ac:dyDescent="0.25">
      <c r="E6" s="1">
        <f>E5/9</f>
        <v>4000</v>
      </c>
      <c r="F6" t="s">
        <v>2</v>
      </c>
      <c r="P6" s="3" t="s">
        <v>10</v>
      </c>
      <c r="Q6">
        <v>2400</v>
      </c>
      <c r="R6" s="3" t="s">
        <v>48</v>
      </c>
      <c r="S6" t="s">
        <v>47</v>
      </c>
    </row>
    <row r="7" spans="2:19" x14ac:dyDescent="0.25">
      <c r="C7" t="s">
        <v>38</v>
      </c>
      <c r="E7" s="1">
        <f>2*50*10</f>
        <v>1000</v>
      </c>
      <c r="F7" t="s">
        <v>1</v>
      </c>
      <c r="G7" t="s">
        <v>39</v>
      </c>
      <c r="Q7">
        <v>2400</v>
      </c>
      <c r="R7" s="3" t="s">
        <v>48</v>
      </c>
      <c r="S7">
        <v>1.606938</v>
      </c>
    </row>
    <row r="8" spans="2:19" x14ac:dyDescent="0.25">
      <c r="C8" t="s">
        <v>63</v>
      </c>
      <c r="E8" s="1"/>
      <c r="G8" t="s">
        <v>56</v>
      </c>
      <c r="I8" s="4"/>
      <c r="P8" s="3" t="s">
        <v>10</v>
      </c>
      <c r="Q8" s="1">
        <v>3857</v>
      </c>
    </row>
    <row r="9" spans="2:19" x14ac:dyDescent="0.25">
      <c r="C9" t="s">
        <v>49</v>
      </c>
      <c r="E9" s="1"/>
      <c r="F9">
        <f>3857*15</f>
        <v>57855</v>
      </c>
      <c r="G9" t="s">
        <v>1</v>
      </c>
    </row>
    <row r="10" spans="2:19" x14ac:dyDescent="0.25">
      <c r="C10" t="s">
        <v>50</v>
      </c>
      <c r="E10" s="1"/>
      <c r="F10" s="1">
        <f>E7</f>
        <v>1000</v>
      </c>
      <c r="G10" t="s">
        <v>1</v>
      </c>
    </row>
    <row r="11" spans="2:19" x14ac:dyDescent="0.25">
      <c r="C11" t="s">
        <v>51</v>
      </c>
      <c r="E11" s="1"/>
      <c r="F11" s="1">
        <f>SUM(F9:F10)</f>
        <v>58855</v>
      </c>
      <c r="G11" t="s">
        <v>1</v>
      </c>
      <c r="H11" t="s">
        <v>57</v>
      </c>
      <c r="I11" s="3" t="s">
        <v>64</v>
      </c>
    </row>
    <row r="12" spans="2:19" x14ac:dyDescent="0.25">
      <c r="E12" s="1"/>
      <c r="F12" s="1"/>
      <c r="G12" t="s">
        <v>66</v>
      </c>
      <c r="I12" s="3" t="s">
        <v>65</v>
      </c>
    </row>
    <row r="13" spans="2:19" x14ac:dyDescent="0.25">
      <c r="B13" t="s">
        <v>67</v>
      </c>
      <c r="E13" s="1">
        <f>59/9</f>
        <v>6.5555555555555554</v>
      </c>
      <c r="F13" t="s">
        <v>3</v>
      </c>
    </row>
    <row r="14" spans="2:19" x14ac:dyDescent="0.25">
      <c r="E14" s="1">
        <f>(E13*1000)/3600</f>
        <v>1.8209876543209877</v>
      </c>
      <c r="F14" t="s">
        <v>4</v>
      </c>
    </row>
    <row r="15" spans="2:19" x14ac:dyDescent="0.25">
      <c r="B15" t="s">
        <v>6</v>
      </c>
      <c r="E15" s="1"/>
      <c r="G15" t="s">
        <v>68</v>
      </c>
    </row>
    <row r="16" spans="2:19" x14ac:dyDescent="0.25">
      <c r="E16" s="1"/>
    </row>
    <row r="17" spans="1:8" x14ac:dyDescent="0.25">
      <c r="B17" t="s">
        <v>69</v>
      </c>
      <c r="E17">
        <v>4.32</v>
      </c>
      <c r="F17" t="s">
        <v>3</v>
      </c>
      <c r="G17">
        <f>E17*9</f>
        <v>38.880000000000003</v>
      </c>
      <c r="H17" t="s">
        <v>34</v>
      </c>
    </row>
    <row r="18" spans="1:8" x14ac:dyDescent="0.25">
      <c r="E18" s="10">
        <f>(E17*1000)/3600</f>
        <v>1.2</v>
      </c>
      <c r="F18" t="s">
        <v>4</v>
      </c>
    </row>
    <row r="19" spans="1:8" x14ac:dyDescent="0.25">
      <c r="F19">
        <v>2</v>
      </c>
      <c r="G19" t="s">
        <v>5</v>
      </c>
    </row>
    <row r="20" spans="1:8" x14ac:dyDescent="0.25">
      <c r="A20" t="s">
        <v>60</v>
      </c>
      <c r="F20" t="s">
        <v>58</v>
      </c>
    </row>
    <row r="22" spans="1:8" x14ac:dyDescent="0.25">
      <c r="B22" t="s">
        <v>35</v>
      </c>
      <c r="C22" s="3" t="s">
        <v>10</v>
      </c>
      <c r="D22" t="s">
        <v>59</v>
      </c>
    </row>
    <row r="23" spans="1:8" x14ac:dyDescent="0.25">
      <c r="C23" t="s">
        <v>70</v>
      </c>
    </row>
    <row r="25" spans="1:8" x14ac:dyDescent="0.25">
      <c r="C25" t="s">
        <v>8</v>
      </c>
    </row>
    <row r="26" spans="1:8" x14ac:dyDescent="0.25">
      <c r="C26" t="s">
        <v>9</v>
      </c>
      <c r="D26" s="3" t="s">
        <v>10</v>
      </c>
      <c r="E26" s="4">
        <f>((2200*7)/(6.3*0.6))</f>
        <v>4074.0740740740744</v>
      </c>
      <c r="F26" t="s">
        <v>11</v>
      </c>
    </row>
    <row r="27" spans="1:8" x14ac:dyDescent="0.25">
      <c r="C27" t="s">
        <v>12</v>
      </c>
      <c r="E27">
        <f>E26/250</f>
        <v>16.296296296296298</v>
      </c>
      <c r="F27" t="s">
        <v>13</v>
      </c>
      <c r="G27">
        <v>17</v>
      </c>
      <c r="H27" t="s">
        <v>14</v>
      </c>
    </row>
    <row r="28" spans="1:8" x14ac:dyDescent="0.25">
      <c r="C28" t="s">
        <v>15</v>
      </c>
      <c r="G28" s="4">
        <v>19</v>
      </c>
      <c r="H28" t="s">
        <v>14</v>
      </c>
    </row>
    <row r="31" spans="1:8" x14ac:dyDescent="0.25">
      <c r="C31" t="s">
        <v>71</v>
      </c>
    </row>
    <row r="33" spans="3:14" ht="18" x14ac:dyDescent="0.25">
      <c r="C33" t="s">
        <v>18</v>
      </c>
      <c r="E33" s="5" t="s">
        <v>19</v>
      </c>
    </row>
    <row r="34" spans="3:14" x14ac:dyDescent="0.25">
      <c r="C34" t="s">
        <v>20</v>
      </c>
      <c r="D34" t="s">
        <v>21</v>
      </c>
      <c r="E34" s="3" t="s">
        <v>10</v>
      </c>
      <c r="F34" s="6" t="s">
        <v>22</v>
      </c>
      <c r="G34" s="6"/>
      <c r="H34" s="6"/>
      <c r="I34" s="6"/>
      <c r="J34" s="3" t="s">
        <v>10</v>
      </c>
      <c r="K34" s="7" t="s">
        <v>23</v>
      </c>
      <c r="L34" s="3"/>
    </row>
    <row r="35" spans="3:14" x14ac:dyDescent="0.25">
      <c r="F35" s="9" t="s">
        <v>24</v>
      </c>
      <c r="G35" s="9"/>
      <c r="H35" s="9"/>
      <c r="I35" s="9"/>
    </row>
    <row r="36" spans="3:14" x14ac:dyDescent="0.25">
      <c r="J36" s="3" t="s">
        <v>10</v>
      </c>
      <c r="K36">
        <f>39*80*2.725</f>
        <v>8502</v>
      </c>
      <c r="N36" s="3" t="s">
        <v>72</v>
      </c>
    </row>
    <row r="37" spans="3:14" x14ac:dyDescent="0.25">
      <c r="D37" t="s">
        <v>25</v>
      </c>
      <c r="E37" s="3" t="s">
        <v>10</v>
      </c>
      <c r="F37" t="s">
        <v>26</v>
      </c>
      <c r="I37" s="3" t="s">
        <v>10</v>
      </c>
      <c r="J37">
        <f>K36/0.75</f>
        <v>11336</v>
      </c>
    </row>
    <row r="40" spans="3:14" x14ac:dyDescent="0.25">
      <c r="C40" t="s">
        <v>27</v>
      </c>
      <c r="E40" s="3" t="s">
        <v>10</v>
      </c>
      <c r="F40" s="6" t="s">
        <v>28</v>
      </c>
      <c r="I40" s="3" t="s">
        <v>10</v>
      </c>
      <c r="J40" s="6">
        <f>J37</f>
        <v>11336</v>
      </c>
      <c r="K40" s="3" t="s">
        <v>10</v>
      </c>
      <c r="L40" s="4">
        <f>J40/J41</f>
        <v>2998.9417989417989</v>
      </c>
    </row>
    <row r="41" spans="3:14" x14ac:dyDescent="0.25">
      <c r="F41" s="8" t="s">
        <v>29</v>
      </c>
      <c r="G41" s="8"/>
      <c r="J41">
        <f>6.3*0.6</f>
        <v>3.78</v>
      </c>
    </row>
    <row r="42" spans="3:14" x14ac:dyDescent="0.25">
      <c r="C42" t="s">
        <v>30</v>
      </c>
      <c r="E42" s="3" t="s">
        <v>10</v>
      </c>
      <c r="F42">
        <f>L40/250</f>
        <v>11.995767195767195</v>
      </c>
    </row>
    <row r="44" spans="3:14" x14ac:dyDescent="0.25">
      <c r="E44" s="3" t="s">
        <v>10</v>
      </c>
      <c r="F44">
        <v>12</v>
      </c>
      <c r="G44" t="s">
        <v>31</v>
      </c>
    </row>
    <row r="45" spans="3:14" x14ac:dyDescent="0.25">
      <c r="E45" t="s">
        <v>13</v>
      </c>
      <c r="F45" s="4">
        <v>14</v>
      </c>
      <c r="G45" t="s">
        <v>32</v>
      </c>
    </row>
  </sheetData>
  <mergeCells count="1">
    <mergeCell ref="F35:I3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Shinteshrab</vt:lpstr>
      <vt:lpstr>ND BH15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Teklemariam</dc:creator>
  <cp:lastModifiedBy>Teklemariam</cp:lastModifiedBy>
  <dcterms:created xsi:type="dcterms:W3CDTF">2021-01-16T16:36:22Z</dcterms:created>
  <dcterms:modified xsi:type="dcterms:W3CDTF">2021-01-18T08:23:03Z</dcterms:modified>
</cp:coreProperties>
</file>